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4730" windowHeight="8265" activeTab="0"/>
  </bookViews>
  <sheets>
    <sheet name="Reported registration" sheetId="1" r:id="rId1"/>
  </sheets>
  <definedNames>
    <definedName name="_xlnm.Print_Titles" localSheetId="0">'Reported registration'!$2:$7</definedName>
  </definedNames>
  <calcPr calcMode="manual" fullCalcOnLoad="1"/>
</workbook>
</file>

<file path=xl/sharedStrings.xml><?xml version="1.0" encoding="utf-8"?>
<sst xmlns="http://schemas.openxmlformats.org/spreadsheetml/2006/main" count="116" uniqueCount="67">
  <si>
    <t>Alabama</t>
  </si>
  <si>
    <t>Alaska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</si>
  <si>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</si>
  <si>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</si>
  <si>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</si>
  <si>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</si>
  <si>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</si>
  <si>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</si>
  <si>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</si>
  <si>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</si>
  <si>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</si>
  <si>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</si>
  <si>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</si>
  <si>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</si>
  <si>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</si>
  <si>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</si>
  <si>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</si>
  <si>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</si>
  <si>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</si>
  <si>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</si>
  <si>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</si>
  <si>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</si>
  <si>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</si>
  <si>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</si>
  <si>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</si>
  <si>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</si>
  <si>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</si>
  <si>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</si>
  <si>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</si>
  <si>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</si>
  <si>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</si>
  <si>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Oklahoma</t>
  </si>
  <si>
    <t>Oregon</t>
  </si>
  <si>
    <t>Pennsylvania</t>
  </si>
  <si>
    <t xml:space="preserve">Rhode Island </t>
  </si>
  <si>
    <t>South Dakota</t>
  </si>
  <si>
    <t>Tennessee</t>
  </si>
  <si>
    <t>Texas</t>
  </si>
  <si>
    <t xml:space="preserve">Utah </t>
  </si>
  <si>
    <t>Vermont</t>
  </si>
  <si>
    <t>Virginia</t>
  </si>
  <si>
    <t>Washington</t>
  </si>
  <si>
    <t>West Virginia</t>
  </si>
  <si>
    <t>Wisconsin</t>
  </si>
  <si>
    <t>Wyoming</t>
  </si>
  <si>
    <t>Total</t>
  </si>
  <si>
    <t>Citizen</t>
  </si>
  <si>
    <t>Arizona</t>
  </si>
  <si>
    <t>Indiana</t>
  </si>
  <si>
    <t>Louisiana</t>
  </si>
  <si>
    <t>Montana</t>
  </si>
  <si>
    <t>North Carolina</t>
  </si>
  <si>
    <t>South Carolina</t>
  </si>
  <si>
    <t>Footnotes:</t>
  </si>
  <si>
    <t>Source: U.S. Census Bureau, Current Population Survey, November 2002 and earlier years.</t>
  </si>
  <si>
    <t>File with two spreadsheets.  Both tables with row headers in column A and column headers in rows 5 through 6.</t>
  </si>
  <si>
    <t>http://www.census.gov/population/www/socdemo/voting.html</t>
  </si>
  <si>
    <t>http://www.iowadatacenter.org</t>
  </si>
  <si>
    <t>Area</t>
  </si>
  <si>
    <r>
      <t xml:space="preserve">1974 </t>
    </r>
    <r>
      <rPr>
        <b/>
        <vertAlign val="superscript"/>
        <sz val="10"/>
        <rFont val="Arial"/>
        <family val="2"/>
      </rPr>
      <t>1</t>
    </r>
  </si>
  <si>
    <t>Universe: Population 18 Years and over</t>
  </si>
  <si>
    <r>
      <t xml:space="preserve">1 </t>
    </r>
    <r>
      <rPr>
        <sz val="10"/>
        <rFont val="Arial"/>
        <family val="2"/>
      </rPr>
      <t>Data for 1974 are limited to the largest 15 states due to smaller sample sizes. Data are not available prior to 1972.</t>
    </r>
  </si>
  <si>
    <t>Reported registration rates (percent)</t>
  </si>
  <si>
    <t>Note:  "---"  means data are not available.</t>
  </si>
  <si>
    <t>---</t>
  </si>
  <si>
    <t>Reported Registration for Total and Citizen Voting-Age Population for Congressional Elections:  1974-2006</t>
  </si>
  <si>
    <t>Prepared By: State Library of Iowa, State Data Center Program, 800-248-4483, 7/7/08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</si>
</sst>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2" applyFont="1" applyAlignment="1" applyProtection="1">
      <alignment horizontal="left" indent="1"/>
      <protection/>
    </xf>
    <xf numFmtId="0" fontId="1" fillId="33" borderId="11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 quotePrefix="1">
      <alignment horizontal="right"/>
      <protection locked="0"/>
    </xf>
    <xf numFmtId="164" fontId="1" fillId="33" borderId="12" xfId="0" applyNumberFormat="1" applyFont="1" applyFill="1" applyBorder="1" applyAlignment="1" applyProtection="1">
      <alignment horizontal="center"/>
      <protection locked="0"/>
    </xf>
    <xf numFmtId="164" fontId="1" fillId="33" borderId="13" xfId="0" applyNumberFormat="1" applyFont="1" applyFill="1" applyBorder="1" applyAlignment="1" applyProtection="1">
      <alignment horizontal="center"/>
      <protection locked="0"/>
    </xf>
    <xf numFmtId="164" fontId="1" fillId="33" borderId="14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52" applyAlignment="1" applyProtection="1">
      <alignment horizontal="left" indent="1"/>
      <protection/>
    </xf>
    <xf numFmtId="164" fontId="0" fillId="0" borderId="0" xfId="0" applyNumberForma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ulation/www/socdemo/voting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8515625" style="2" customWidth="1"/>
    <col min="2" max="2" width="7.7109375" style="3" customWidth="1"/>
    <col min="3" max="3" width="7.7109375" style="2" customWidth="1"/>
    <col min="4" max="4" width="7.7109375" style="3" customWidth="1"/>
    <col min="5" max="17" width="7.7109375" style="2" customWidth="1"/>
    <col min="18" max="16384" width="9.140625" style="2" customWidth="1"/>
  </cols>
  <sheetData>
    <row r="1" ht="1.5" customHeight="1">
      <c r="A1" s="1" t="s">
        <v>55</v>
      </c>
    </row>
    <row r="2" ht="12.75">
      <c r="A2" s="9" t="s">
        <v>65</v>
      </c>
    </row>
    <row r="3" ht="12.75">
      <c r="A3" s="9" t="s">
        <v>60</v>
      </c>
    </row>
    <row r="5" spans="1:17" s="9" customFormat="1" ht="12.75">
      <c r="A5" s="20"/>
      <c r="B5" s="23" t="s">
        <v>62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s="9" customFormat="1" ht="14.25">
      <c r="A6" s="27" t="s">
        <v>58</v>
      </c>
      <c r="B6" s="29">
        <v>2006</v>
      </c>
      <c r="C6" s="29"/>
      <c r="D6" s="29">
        <v>2002</v>
      </c>
      <c r="E6" s="29"/>
      <c r="F6" s="26">
        <v>1998</v>
      </c>
      <c r="G6" s="26"/>
      <c r="H6" s="26">
        <v>1994</v>
      </c>
      <c r="I6" s="26"/>
      <c r="J6" s="26">
        <v>1990</v>
      </c>
      <c r="K6" s="26"/>
      <c r="L6" s="26">
        <v>1986</v>
      </c>
      <c r="M6" s="26"/>
      <c r="N6" s="26">
        <v>1982</v>
      </c>
      <c r="O6" s="26"/>
      <c r="P6" s="10">
        <v>1978</v>
      </c>
      <c r="Q6" s="10" t="s">
        <v>59</v>
      </c>
    </row>
    <row r="7" spans="1:17" s="9" customFormat="1" ht="12.75">
      <c r="A7" s="28"/>
      <c r="B7" s="13" t="s">
        <v>45</v>
      </c>
      <c r="C7" s="11" t="s">
        <v>46</v>
      </c>
      <c r="D7" s="13" t="s">
        <v>45</v>
      </c>
      <c r="E7" s="11" t="s">
        <v>46</v>
      </c>
      <c r="F7" s="11" t="s">
        <v>45</v>
      </c>
      <c r="G7" s="11" t="s">
        <v>46</v>
      </c>
      <c r="H7" s="11" t="s">
        <v>45</v>
      </c>
      <c r="I7" s="11" t="s">
        <v>46</v>
      </c>
      <c r="J7" s="11" t="s">
        <v>45</v>
      </c>
      <c r="K7" s="11" t="s">
        <v>46</v>
      </c>
      <c r="L7" s="11" t="s">
        <v>45</v>
      </c>
      <c r="M7" s="11" t="s">
        <v>46</v>
      </c>
      <c r="N7" s="11" t="s">
        <v>45</v>
      </c>
      <c r="O7" s="11" t="s">
        <v>46</v>
      </c>
      <c r="P7" s="11" t="s">
        <v>45</v>
      </c>
      <c r="Q7" s="11" t="s">
        <v>45</v>
      </c>
    </row>
    <row r="8" spans="1:17" ht="12.75">
      <c r="A8" s="7"/>
      <c r="B8" s="6"/>
      <c r="C8" s="8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4" t="s">
        <v>0</v>
      </c>
      <c r="B9" s="31">
        <v>72</v>
      </c>
      <c r="C9" s="31">
        <v>74</v>
      </c>
      <c r="D9" s="5">
        <f>2347/3252*100</f>
        <v>72.17097170971711</v>
      </c>
      <c r="E9" s="5">
        <v>73</v>
      </c>
      <c r="F9" s="5">
        <v>73.7</v>
      </c>
      <c r="G9" s="5">
        <f>2398/3212*100</f>
        <v>74.65753424657534</v>
      </c>
      <c r="H9" s="5">
        <v>70.6</v>
      </c>
      <c r="I9" s="5">
        <f>2212/3093*100</f>
        <v>71.51632719043</v>
      </c>
      <c r="J9" s="5">
        <v>72.6</v>
      </c>
      <c r="K9" s="5">
        <f>2166/2923*100</f>
        <v>74.10195005131715</v>
      </c>
      <c r="L9" s="5">
        <v>74.5</v>
      </c>
      <c r="M9" s="5">
        <v>76.07205030731517</v>
      </c>
      <c r="N9" s="5">
        <v>67.1</v>
      </c>
      <c r="O9" s="5">
        <v>68.05031446540882</v>
      </c>
      <c r="P9" s="5">
        <v>67.56842146834644</v>
      </c>
      <c r="Q9" s="22" t="s">
        <v>64</v>
      </c>
    </row>
    <row r="10" spans="1:17" ht="12.75">
      <c r="A10" s="4" t="s">
        <v>1</v>
      </c>
      <c r="B10" s="31">
        <v>70.9</v>
      </c>
      <c r="C10" s="31">
        <v>73.6</v>
      </c>
      <c r="D10" s="5">
        <f>230/437*100</f>
        <v>52.63157894736842</v>
      </c>
      <c r="E10" s="5">
        <v>72.5</v>
      </c>
      <c r="F10" s="5">
        <v>72.3</v>
      </c>
      <c r="G10" s="5">
        <f>299/402*100</f>
        <v>74.37810945273633</v>
      </c>
      <c r="H10" s="5">
        <v>72</v>
      </c>
      <c r="I10" s="5">
        <f>283/385*100</f>
        <v>73.50649350649351</v>
      </c>
      <c r="J10" s="5">
        <v>71</v>
      </c>
      <c r="K10" s="5">
        <f>239/316*100</f>
        <v>75.63291139240506</v>
      </c>
      <c r="L10" s="5">
        <v>70.2</v>
      </c>
      <c r="M10" s="5">
        <v>72.57863924530591</v>
      </c>
      <c r="N10" s="5">
        <v>68.7</v>
      </c>
      <c r="O10" s="5">
        <v>72.82608695652173</v>
      </c>
      <c r="P10" s="6">
        <v>64.99901671583088</v>
      </c>
      <c r="Q10" s="22" t="s">
        <v>64</v>
      </c>
    </row>
    <row r="11" spans="1:17" ht="12.75">
      <c r="A11" s="4" t="s">
        <v>47</v>
      </c>
      <c r="B11" s="31">
        <v>53.8</v>
      </c>
      <c r="C11" s="31">
        <v>62.1</v>
      </c>
      <c r="D11" s="5">
        <f>1930/3800*100</f>
        <v>50.78947368421053</v>
      </c>
      <c r="E11" s="5">
        <v>58.6</v>
      </c>
      <c r="F11" s="5">
        <v>51.1</v>
      </c>
      <c r="G11" s="5">
        <f>1719/2971*100</f>
        <v>57.85930663076405</v>
      </c>
      <c r="H11" s="5">
        <v>56.6</v>
      </c>
      <c r="I11" s="5">
        <f>1683/2725*100</f>
        <v>61.76146788990826</v>
      </c>
      <c r="J11" s="5">
        <v>56.3</v>
      </c>
      <c r="K11" s="5">
        <f>1457/2375*100</f>
        <v>61.34736842105263</v>
      </c>
      <c r="L11" s="5">
        <v>57.3</v>
      </c>
      <c r="M11" s="5">
        <v>60.954321917504764</v>
      </c>
      <c r="N11" s="5">
        <v>53.8</v>
      </c>
      <c r="O11" s="5">
        <v>56.922021736836555</v>
      </c>
      <c r="P11" s="6">
        <v>50.00751126690035</v>
      </c>
      <c r="Q11" s="22" t="s">
        <v>64</v>
      </c>
    </row>
    <row r="12" spans="1:17" ht="12.75">
      <c r="A12" s="4" t="s">
        <v>2</v>
      </c>
      <c r="B12" s="31">
        <v>63.4</v>
      </c>
      <c r="C12" s="31">
        <v>65.7</v>
      </c>
      <c r="D12" s="5">
        <f>1222/1960*100</f>
        <v>62.34693877551021</v>
      </c>
      <c r="E12" s="5">
        <v>63.7</v>
      </c>
      <c r="F12" s="5">
        <v>63.2</v>
      </c>
      <c r="G12" s="5">
        <f>1172/1835*100</f>
        <v>63.869209809264305</v>
      </c>
      <c r="H12" s="5">
        <v>60</v>
      </c>
      <c r="I12" s="5">
        <f>1081/1780*100</f>
        <v>60.73033707865169</v>
      </c>
      <c r="J12" s="5">
        <v>61</v>
      </c>
      <c r="K12" s="5">
        <f>1070/1680*100</f>
        <v>63.69047619047619</v>
      </c>
      <c r="L12" s="5">
        <v>63.4</v>
      </c>
      <c r="M12" s="5">
        <v>64.53939393939395</v>
      </c>
      <c r="N12" s="5">
        <v>64.7</v>
      </c>
      <c r="O12" s="5">
        <v>66.07131587251499</v>
      </c>
      <c r="P12" s="6">
        <v>62.06198650724735</v>
      </c>
      <c r="Q12" s="22" t="s">
        <v>64</v>
      </c>
    </row>
    <row r="13" spans="1:17" ht="12.75">
      <c r="A13" s="4" t="s">
        <v>3</v>
      </c>
      <c r="B13" s="31">
        <v>50.3</v>
      </c>
      <c r="C13" s="31">
        <v>62.3</v>
      </c>
      <c r="D13" s="5">
        <f>12025/24405*100</f>
        <v>49.272690022536366</v>
      </c>
      <c r="E13" s="5">
        <v>61.2</v>
      </c>
      <c r="F13" s="5">
        <v>52.1</v>
      </c>
      <c r="G13" s="5">
        <f>12356/19016*100</f>
        <v>64.97686159023979</v>
      </c>
      <c r="H13" s="5">
        <v>55.4</v>
      </c>
      <c r="I13" s="5">
        <f>12544/18113*100</f>
        <v>69.25412687020372</v>
      </c>
      <c r="J13" s="5">
        <v>54.8</v>
      </c>
      <c r="K13" s="5">
        <f>11660/16613*100</f>
        <v>70.18599891651117</v>
      </c>
      <c r="L13" s="5">
        <v>57.3</v>
      </c>
      <c r="M13" s="5">
        <v>69.78326612903226</v>
      </c>
      <c r="N13" s="5">
        <v>57.6</v>
      </c>
      <c r="O13" s="5">
        <v>69.47490294898863</v>
      </c>
      <c r="P13" s="5">
        <v>57.79442015942402</v>
      </c>
      <c r="Q13" s="5">
        <v>58.7</v>
      </c>
    </row>
    <row r="14" spans="1:17" ht="12.75">
      <c r="A14" s="4" t="s">
        <v>4</v>
      </c>
      <c r="B14" s="31">
        <v>65.7</v>
      </c>
      <c r="C14" s="31">
        <v>71.4</v>
      </c>
      <c r="D14" s="5">
        <f>1976/3246*100</f>
        <v>60.87492298213185</v>
      </c>
      <c r="E14" s="5">
        <v>66.8</v>
      </c>
      <c r="F14" s="5">
        <v>68.5</v>
      </c>
      <c r="G14" s="5">
        <f>2024/2769*100</f>
        <v>73.09498013723366</v>
      </c>
      <c r="H14" s="5">
        <v>64.5</v>
      </c>
      <c r="I14" s="5">
        <f>1743/2620*100</f>
        <v>66.52671755725191</v>
      </c>
      <c r="J14" s="5">
        <v>65.4</v>
      </c>
      <c r="K14" s="5">
        <f>1555/2255*100</f>
        <v>68.95787139689578</v>
      </c>
      <c r="L14" s="5">
        <v>65</v>
      </c>
      <c r="M14" s="5">
        <v>67.0886075949367</v>
      </c>
      <c r="N14" s="5">
        <v>62.8</v>
      </c>
      <c r="O14" s="5">
        <v>65.00405708558064</v>
      </c>
      <c r="P14" s="6">
        <v>61.06320270712804</v>
      </c>
      <c r="Q14" s="22" t="s">
        <v>64</v>
      </c>
    </row>
    <row r="15" spans="1:17" ht="12.75">
      <c r="A15" s="4" t="s">
        <v>5</v>
      </c>
      <c r="B15" s="31">
        <v>62.5</v>
      </c>
      <c r="C15" s="31">
        <v>67.2</v>
      </c>
      <c r="D15" s="5">
        <f>1679/2574*100</f>
        <v>65.22921522921523</v>
      </c>
      <c r="E15" s="5">
        <v>70.4</v>
      </c>
      <c r="F15" s="5">
        <v>66.6</v>
      </c>
      <c r="G15" s="5">
        <f>1625/2347*100</f>
        <v>69.23732424371538</v>
      </c>
      <c r="H15" s="5">
        <v>69</v>
      </c>
      <c r="I15" s="5">
        <f>1679/2278*100</f>
        <v>73.70500438981563</v>
      </c>
      <c r="J15" s="5">
        <v>64.8</v>
      </c>
      <c r="K15" s="5">
        <f>1594/2229*100</f>
        <v>71.511888739345</v>
      </c>
      <c r="L15" s="5">
        <v>67.1</v>
      </c>
      <c r="M15" s="5">
        <v>72.18393910732783</v>
      </c>
      <c r="N15" s="5">
        <v>69</v>
      </c>
      <c r="O15" s="5">
        <v>72.51488161840398</v>
      </c>
      <c r="P15" s="5">
        <v>67.89535197338849</v>
      </c>
      <c r="Q15" s="22" t="s">
        <v>64</v>
      </c>
    </row>
    <row r="16" spans="1:17" ht="12.75">
      <c r="A16" s="4" t="s">
        <v>6</v>
      </c>
      <c r="B16" s="31">
        <v>63</v>
      </c>
      <c r="C16" s="31">
        <v>67.6</v>
      </c>
      <c r="D16" s="5">
        <f>385/590*100</f>
        <v>65.2542372881356</v>
      </c>
      <c r="E16" s="5">
        <v>68.9</v>
      </c>
      <c r="F16" s="5">
        <v>61.1</v>
      </c>
      <c r="G16" s="5">
        <f>339/538*100</f>
        <v>63.01115241635687</v>
      </c>
      <c r="H16" s="5">
        <v>58.9</v>
      </c>
      <c r="I16" s="5">
        <f>311/515*100</f>
        <v>60.38834951456311</v>
      </c>
      <c r="J16" s="5">
        <v>53.5</v>
      </c>
      <c r="K16" s="5">
        <f>272/470*100</f>
        <v>57.87234042553191</v>
      </c>
      <c r="L16" s="5">
        <v>57.5</v>
      </c>
      <c r="M16" s="5">
        <v>59.33022882734341</v>
      </c>
      <c r="N16" s="5">
        <v>61.9</v>
      </c>
      <c r="O16" s="5">
        <v>66.25863770977296</v>
      </c>
      <c r="P16" s="6">
        <v>67.89910584525948</v>
      </c>
      <c r="Q16" s="22" t="s">
        <v>64</v>
      </c>
    </row>
    <row r="17" spans="1:17" ht="12.75">
      <c r="A17" s="4" t="s">
        <v>7</v>
      </c>
      <c r="B17" s="31">
        <v>65.8</v>
      </c>
      <c r="C17" s="31">
        <v>73.6</v>
      </c>
      <c r="D17" s="5">
        <f>295/435*100</f>
        <v>67.81609195402298</v>
      </c>
      <c r="E17" s="5">
        <v>76</v>
      </c>
      <c r="F17" s="5">
        <v>65.1</v>
      </c>
      <c r="G17" s="5">
        <f>256/364*100</f>
        <v>70.32967032967034</v>
      </c>
      <c r="H17" s="5">
        <v>67.6</v>
      </c>
      <c r="I17" s="5">
        <f>298/391*100</f>
        <v>76.21483375959079</v>
      </c>
      <c r="J17" s="5">
        <v>62.2</v>
      </c>
      <c r="K17" s="5">
        <f>266/378*100</f>
        <v>70.37037037037037</v>
      </c>
      <c r="L17" s="5">
        <v>61.6</v>
      </c>
      <c r="M17" s="5">
        <v>67.93531564720237</v>
      </c>
      <c r="N17" s="5">
        <v>54.8</v>
      </c>
      <c r="O17" s="5">
        <v>60.109560630311776</v>
      </c>
      <c r="P17" s="6">
        <v>53.44379333113238</v>
      </c>
      <c r="Q17" s="22" t="s">
        <v>64</v>
      </c>
    </row>
    <row r="18" spans="1:17" ht="12.75">
      <c r="A18" s="4" t="s">
        <v>8</v>
      </c>
      <c r="B18" s="31">
        <v>56.4</v>
      </c>
      <c r="C18" s="31">
        <v>64.9</v>
      </c>
      <c r="D18" s="5">
        <f>7290/12539*100</f>
        <v>58.13860754446129</v>
      </c>
      <c r="E18" s="5">
        <v>66</v>
      </c>
      <c r="F18" s="5">
        <v>59</v>
      </c>
      <c r="G18" s="5">
        <f>6653/10033*100</f>
        <v>66.31117312867538</v>
      </c>
      <c r="H18" s="5">
        <v>56.7</v>
      </c>
      <c r="I18" s="5">
        <f>6002/9386*100</f>
        <v>63.94630300447475</v>
      </c>
      <c r="J18" s="5">
        <v>58.1</v>
      </c>
      <c r="K18" s="5">
        <f>5760/8769*100</f>
        <v>65.68593910366062</v>
      </c>
      <c r="L18" s="5">
        <v>59.8</v>
      </c>
      <c r="M18" s="5">
        <v>65.78284698563176</v>
      </c>
      <c r="N18" s="5">
        <v>58.9</v>
      </c>
      <c r="O18" s="5">
        <v>64.85316291101243</v>
      </c>
      <c r="P18" s="5">
        <v>60.59278634795078</v>
      </c>
      <c r="Q18" s="5">
        <v>56.1</v>
      </c>
    </row>
    <row r="19" spans="1:17" ht="12.75">
      <c r="A19" s="4" t="s">
        <v>9</v>
      </c>
      <c r="B19" s="31">
        <v>59.6</v>
      </c>
      <c r="C19" s="31">
        <v>64.9</v>
      </c>
      <c r="D19" s="5">
        <f>3737/6080*100</f>
        <v>61.463815789473685</v>
      </c>
      <c r="E19" s="5">
        <v>65</v>
      </c>
      <c r="F19" s="5">
        <v>62</v>
      </c>
      <c r="G19" s="5">
        <f>3462/5417*100</f>
        <v>63.90991323610855</v>
      </c>
      <c r="H19" s="5">
        <v>55.2</v>
      </c>
      <c r="I19" s="5">
        <f>2819/4988*100</f>
        <v>56.51563753007217</v>
      </c>
      <c r="J19" s="5">
        <v>57.4</v>
      </c>
      <c r="K19" s="5">
        <f>2653/4321*100</f>
        <v>61.397824577644066</v>
      </c>
      <c r="L19" s="5">
        <v>58.8</v>
      </c>
      <c r="M19" s="5">
        <v>60.78129139471592</v>
      </c>
      <c r="N19" s="5">
        <v>57.6</v>
      </c>
      <c r="O19" s="5">
        <v>58.9444630742642</v>
      </c>
      <c r="P19" s="5">
        <v>57.54481638336137</v>
      </c>
      <c r="Q19" s="5">
        <v>61.2</v>
      </c>
    </row>
    <row r="20" spans="1:17" ht="12.75">
      <c r="A20" s="4" t="s">
        <v>10</v>
      </c>
      <c r="B20" s="31">
        <v>50.9</v>
      </c>
      <c r="C20" s="31">
        <v>55.2</v>
      </c>
      <c r="D20" s="5">
        <f>425/873*100</f>
        <v>48.68270332187858</v>
      </c>
      <c r="E20" s="5">
        <v>53.1</v>
      </c>
      <c r="F20" s="5">
        <v>54.1</v>
      </c>
      <c r="G20" s="5">
        <f>463/766*100</f>
        <v>60.44386422976501</v>
      </c>
      <c r="H20" s="5">
        <v>52.6</v>
      </c>
      <c r="I20" s="5">
        <f>438/742*100</f>
        <v>59.02964959568733</v>
      </c>
      <c r="J20" s="5">
        <v>57.2</v>
      </c>
      <c r="K20" s="5">
        <f>452/705*100</f>
        <v>64.11347517730496</v>
      </c>
      <c r="L20" s="5">
        <v>57.9</v>
      </c>
      <c r="M20" s="5">
        <v>64.10978402128845</v>
      </c>
      <c r="N20" s="5">
        <v>60.6</v>
      </c>
      <c r="O20" s="5">
        <v>66.6993013955495</v>
      </c>
      <c r="P20" s="6">
        <v>59.663523505867985</v>
      </c>
      <c r="Q20" s="22" t="s">
        <v>64</v>
      </c>
    </row>
    <row r="21" spans="1:17" ht="12.75">
      <c r="A21" s="4" t="s">
        <v>11</v>
      </c>
      <c r="B21" s="31">
        <v>62</v>
      </c>
      <c r="C21" s="31">
        <v>65.6</v>
      </c>
      <c r="D21" s="5">
        <f>567/950*100</f>
        <v>59.68421052631578</v>
      </c>
      <c r="E21" s="5">
        <v>61.9</v>
      </c>
      <c r="F21" s="5">
        <v>60</v>
      </c>
      <c r="G21" s="5">
        <f>528/833*100</f>
        <v>63.385354141656656</v>
      </c>
      <c r="H21" s="5">
        <v>63.1</v>
      </c>
      <c r="I21" s="5">
        <f>504/785*100</f>
        <v>64.20382165605095</v>
      </c>
      <c r="J21" s="5">
        <v>60.6</v>
      </c>
      <c r="K21" s="5">
        <f>430/674*100</f>
        <v>63.798219584569736</v>
      </c>
      <c r="L21" s="5">
        <v>69.6</v>
      </c>
      <c r="M21" s="5">
        <v>72.22490274720303</v>
      </c>
      <c r="N21" s="5">
        <v>65.8</v>
      </c>
      <c r="O21" s="5">
        <v>67.62088353413654</v>
      </c>
      <c r="P21" s="6">
        <v>61.8188361093975</v>
      </c>
      <c r="Q21" s="22" t="s">
        <v>64</v>
      </c>
    </row>
    <row r="22" spans="1:17" ht="12.75">
      <c r="A22" s="4" t="s">
        <v>12</v>
      </c>
      <c r="B22" s="31">
        <v>61.5</v>
      </c>
      <c r="C22" s="31">
        <v>68.9</v>
      </c>
      <c r="D22" s="5">
        <f>5781/9366*100</f>
        <v>61.72325432415119</v>
      </c>
      <c r="E22" s="5">
        <v>67.4</v>
      </c>
      <c r="F22" s="5">
        <v>63.9</v>
      </c>
      <c r="G22" s="5">
        <f>5530/8009*100</f>
        <v>69.04732176301661</v>
      </c>
      <c r="H22" s="5">
        <v>63.5</v>
      </c>
      <c r="I22" s="5">
        <f>5434/7976*100</f>
        <v>68.12938816449348</v>
      </c>
      <c r="J22" s="5">
        <v>65.6</v>
      </c>
      <c r="K22" s="5">
        <f>5616/7789*100</f>
        <v>72.10168185903197</v>
      </c>
      <c r="L22" s="5">
        <v>67.2</v>
      </c>
      <c r="M22" s="5">
        <v>71.83939089950357</v>
      </c>
      <c r="N22" s="5">
        <v>70</v>
      </c>
      <c r="O22" s="5">
        <v>74.23825932091836</v>
      </c>
      <c r="P22" s="5">
        <v>65.75095324615504</v>
      </c>
      <c r="Q22" s="5">
        <v>66.9</v>
      </c>
    </row>
    <row r="23" spans="1:17" ht="12.75">
      <c r="A23" s="4" t="s">
        <v>48</v>
      </c>
      <c r="B23" s="31">
        <v>63.6</v>
      </c>
      <c r="C23" s="31">
        <v>65.4</v>
      </c>
      <c r="D23" s="5">
        <f>2829/4646*100</f>
        <v>60.89108910891089</v>
      </c>
      <c r="E23" s="5">
        <v>61.6</v>
      </c>
      <c r="F23" s="5">
        <v>61.7</v>
      </c>
      <c r="G23" s="5">
        <f>2702/4318*100</f>
        <v>62.57526632700324</v>
      </c>
      <c r="H23" s="5">
        <v>55.6</v>
      </c>
      <c r="I23" s="5">
        <f>2329/4158*100</f>
        <v>56.012506012506016</v>
      </c>
      <c r="J23" s="5">
        <v>60.9</v>
      </c>
      <c r="K23" s="5">
        <f>2494/3873*100</f>
        <v>64.39452620707462</v>
      </c>
      <c r="L23" s="5">
        <v>64.6</v>
      </c>
      <c r="M23" s="5">
        <v>66.1451766461673</v>
      </c>
      <c r="N23" s="5">
        <v>69.1</v>
      </c>
      <c r="O23" s="5">
        <v>70.90763052208835</v>
      </c>
      <c r="P23" s="5">
        <v>62.03239332401546</v>
      </c>
      <c r="Q23" s="5">
        <v>69.6</v>
      </c>
    </row>
    <row r="24" spans="1:17" s="9" customFormat="1" ht="12.75">
      <c r="A24" s="14" t="s">
        <v>13</v>
      </c>
      <c r="B24" s="32">
        <v>73.9</v>
      </c>
      <c r="C24" s="32">
        <v>76.9</v>
      </c>
      <c r="D24" s="15">
        <f>1495/2152*100</f>
        <v>69.47026022304833</v>
      </c>
      <c r="E24" s="15">
        <v>72.2</v>
      </c>
      <c r="F24" s="15">
        <v>74.3</v>
      </c>
      <c r="G24" s="15">
        <f>1562/2063*100</f>
        <v>75.71497818710615</v>
      </c>
      <c r="H24" s="15">
        <v>71.7</v>
      </c>
      <c r="I24" s="15">
        <f>1475/2021*100</f>
        <v>72.98367144977735</v>
      </c>
      <c r="J24" s="15">
        <v>67.4</v>
      </c>
      <c r="K24" s="15">
        <f>1395/2015*100</f>
        <v>69.23076923076923</v>
      </c>
      <c r="L24" s="15">
        <v>67.6</v>
      </c>
      <c r="M24" s="15">
        <v>69.75761842502264</v>
      </c>
      <c r="N24" s="15">
        <v>68.3</v>
      </c>
      <c r="O24" s="15">
        <v>71.0382792191243</v>
      </c>
      <c r="P24" s="15">
        <v>64.4316888515018</v>
      </c>
      <c r="Q24" s="22" t="s">
        <v>64</v>
      </c>
    </row>
    <row r="25" spans="1:17" ht="12.75">
      <c r="A25" s="4" t="s">
        <v>14</v>
      </c>
      <c r="B25" s="31">
        <v>62.6</v>
      </c>
      <c r="C25" s="31">
        <v>65.7</v>
      </c>
      <c r="D25" s="5">
        <f>1298/2038*100</f>
        <v>63.68989205103042</v>
      </c>
      <c r="E25" s="5">
        <v>67</v>
      </c>
      <c r="F25" s="5">
        <v>63.8</v>
      </c>
      <c r="G25" s="5">
        <f>1191/1799*100</f>
        <v>66.20344635908837</v>
      </c>
      <c r="H25" s="5">
        <v>65.6</v>
      </c>
      <c r="I25" s="5">
        <f>1180/1762*100</f>
        <v>66.96935300794551</v>
      </c>
      <c r="J25" s="5">
        <v>64.2</v>
      </c>
      <c r="K25" s="5">
        <f>1156/1739*100</f>
        <v>66.4749856239218</v>
      </c>
      <c r="L25" s="5">
        <v>66.1</v>
      </c>
      <c r="M25" s="5">
        <v>67.74306161633793</v>
      </c>
      <c r="N25" s="5">
        <v>65.2</v>
      </c>
      <c r="O25" s="5">
        <v>67.30885738519326</v>
      </c>
      <c r="P25" s="6">
        <v>62.288187248567596</v>
      </c>
      <c r="Q25" s="22" t="s">
        <v>64</v>
      </c>
    </row>
    <row r="26" spans="1:17" ht="12.75">
      <c r="A26" s="4" t="s">
        <v>15</v>
      </c>
      <c r="B26" s="31">
        <v>71.3</v>
      </c>
      <c r="C26" s="31">
        <v>73.4</v>
      </c>
      <c r="D26" s="5">
        <f>2017/3012*100</f>
        <v>66.96547144754315</v>
      </c>
      <c r="E26" s="5">
        <v>67.6</v>
      </c>
      <c r="F26" s="5">
        <v>65</v>
      </c>
      <c r="G26" s="5">
        <f>1921/2905*100</f>
        <v>66.12736660929433</v>
      </c>
      <c r="H26" s="5">
        <v>62.6</v>
      </c>
      <c r="I26" s="5">
        <f>1756/2781*100</f>
        <v>63.142754404890326</v>
      </c>
      <c r="J26" s="5">
        <v>60.4</v>
      </c>
      <c r="K26" s="5">
        <f>1623/2590*100</f>
        <v>62.664092664092664</v>
      </c>
      <c r="L26" s="5">
        <v>65.6</v>
      </c>
      <c r="M26" s="5">
        <v>67.06124349918497</v>
      </c>
      <c r="N26" s="5">
        <v>66.1</v>
      </c>
      <c r="O26" s="5">
        <v>68.32298136645963</v>
      </c>
      <c r="P26" s="5">
        <v>61.72362185083562</v>
      </c>
      <c r="Q26" s="22" t="s">
        <v>64</v>
      </c>
    </row>
    <row r="27" spans="1:17" ht="12.75">
      <c r="A27" s="4" t="s">
        <v>49</v>
      </c>
      <c r="B27" s="31">
        <v>71</v>
      </c>
      <c r="C27" s="31">
        <v>72.5</v>
      </c>
      <c r="D27" s="5">
        <f>2276/3092*100</f>
        <v>73.60931435963778</v>
      </c>
      <c r="E27" s="5">
        <v>75</v>
      </c>
      <c r="F27" s="5">
        <v>72.6</v>
      </c>
      <c r="G27" s="5">
        <f>2261/3073*100</f>
        <v>73.57630979498862</v>
      </c>
      <c r="H27" s="5">
        <v>70.6</v>
      </c>
      <c r="I27" s="5">
        <f>2126/2971*100</f>
        <v>71.55839784584315</v>
      </c>
      <c r="J27" s="5">
        <v>73.2</v>
      </c>
      <c r="K27" s="5">
        <f>2197/2876*100</f>
        <v>76.39082058414465</v>
      </c>
      <c r="L27" s="5">
        <v>71.2</v>
      </c>
      <c r="M27" s="5">
        <v>74.33667402751826</v>
      </c>
      <c r="N27" s="5">
        <v>67.7</v>
      </c>
      <c r="O27" s="5">
        <v>69.29294996418704</v>
      </c>
      <c r="P27" s="5">
        <v>68.21761737268696</v>
      </c>
      <c r="Q27" s="22" t="s">
        <v>64</v>
      </c>
    </row>
    <row r="28" spans="1:17" ht="12.75">
      <c r="A28" s="4" t="s">
        <v>16</v>
      </c>
      <c r="B28" s="31">
        <v>78.5</v>
      </c>
      <c r="C28" s="31">
        <v>79.3</v>
      </c>
      <c r="D28" s="5">
        <f>831/1042*100</f>
        <v>79.75047984644914</v>
      </c>
      <c r="E28" s="5">
        <v>80.8</v>
      </c>
      <c r="F28" s="5">
        <v>75</v>
      </c>
      <c r="G28" s="5">
        <f>704/932*100</f>
        <v>75.53648068669528</v>
      </c>
      <c r="H28" s="5">
        <v>81.8</v>
      </c>
      <c r="I28" s="5">
        <f>743/888*100</f>
        <v>83.67117117117117</v>
      </c>
      <c r="J28" s="5">
        <v>81.3</v>
      </c>
      <c r="K28" s="5">
        <f>736/877*100</f>
        <v>83.92246294184721</v>
      </c>
      <c r="L28" s="5">
        <v>85.2</v>
      </c>
      <c r="M28" s="5">
        <v>86.79848378625664</v>
      </c>
      <c r="N28" s="5">
        <v>85</v>
      </c>
      <c r="O28" s="5">
        <v>86.83382012669271</v>
      </c>
      <c r="P28" s="6">
        <v>79.99473060202872</v>
      </c>
      <c r="Q28" s="22" t="s">
        <v>64</v>
      </c>
    </row>
    <row r="29" spans="1:17" ht="12.75">
      <c r="A29" s="4" t="s">
        <v>17</v>
      </c>
      <c r="B29" s="31">
        <v>65.1</v>
      </c>
      <c r="C29" s="31">
        <v>71.5</v>
      </c>
      <c r="D29" s="5">
        <f>2377/3922*100</f>
        <v>60.60683324834268</v>
      </c>
      <c r="E29" s="5">
        <v>66.4</v>
      </c>
      <c r="F29" s="5">
        <v>60.4</v>
      </c>
      <c r="G29" s="5">
        <f>2331/3555*100</f>
        <v>65.56962025316456</v>
      </c>
      <c r="H29" s="5">
        <v>63.6</v>
      </c>
      <c r="I29" s="5">
        <f>2369/3551*100</f>
        <v>66.71360180230921</v>
      </c>
      <c r="J29" s="5">
        <v>54.7</v>
      </c>
      <c r="K29" s="5">
        <f>1918/3263*100</f>
        <v>58.78026356114005</v>
      </c>
      <c r="L29" s="5">
        <v>62.9</v>
      </c>
      <c r="M29" s="5">
        <v>66.80720332058698</v>
      </c>
      <c r="N29" s="5">
        <v>65.7</v>
      </c>
      <c r="O29" s="5">
        <v>69.32078780520708</v>
      </c>
      <c r="P29" s="5">
        <v>63.25154007640156</v>
      </c>
      <c r="Q29" s="22" t="s">
        <v>64</v>
      </c>
    </row>
    <row r="30" spans="1:17" ht="12.75">
      <c r="A30" s="4" t="s">
        <v>18</v>
      </c>
      <c r="B30" s="31">
        <v>65.4</v>
      </c>
      <c r="C30" s="31">
        <v>72.4</v>
      </c>
      <c r="D30" s="5">
        <f>3198/4931*100</f>
        <v>64.85499898600689</v>
      </c>
      <c r="E30" s="5">
        <v>71.7</v>
      </c>
      <c r="F30" s="5">
        <v>64.2</v>
      </c>
      <c r="G30" s="5">
        <f>2947/4234*100</f>
        <v>69.60321209258385</v>
      </c>
      <c r="H30" s="5">
        <v>66</v>
      </c>
      <c r="I30" s="5">
        <f>2993/4277*100</f>
        <v>69.97895721299977</v>
      </c>
      <c r="J30" s="5">
        <v>69.3</v>
      </c>
      <c r="K30" s="5">
        <f>3110/4073*100</f>
        <v>76.35649398477781</v>
      </c>
      <c r="L30" s="5">
        <v>66.8</v>
      </c>
      <c r="M30" s="5">
        <v>71.35396424407307</v>
      </c>
      <c r="N30" s="5">
        <v>67.8</v>
      </c>
      <c r="O30" s="5">
        <v>74.34562949046688</v>
      </c>
      <c r="P30" s="5">
        <v>69.97675994964655</v>
      </c>
      <c r="Q30" s="5">
        <v>69.2</v>
      </c>
    </row>
    <row r="31" spans="1:17" ht="12.75">
      <c r="A31" s="4" t="s">
        <v>19</v>
      </c>
      <c r="B31" s="31">
        <v>70.5</v>
      </c>
      <c r="C31" s="31">
        <v>73.4</v>
      </c>
      <c r="D31" s="5">
        <f>5291/7629*100</f>
        <v>69.35378162275528</v>
      </c>
      <c r="E31" s="5">
        <v>72.2</v>
      </c>
      <c r="F31" s="5">
        <v>72.2</v>
      </c>
      <c r="G31" s="5">
        <f>5217/7029*100</f>
        <v>74.22108408023901</v>
      </c>
      <c r="H31" s="5">
        <v>73.9</v>
      </c>
      <c r="I31" s="5">
        <f>5112/6766*100</f>
        <v>75.5542417972214</v>
      </c>
      <c r="J31" s="5">
        <v>70.8</v>
      </c>
      <c r="K31" s="5">
        <f>4776/6262*100</f>
        <v>76.26956244011498</v>
      </c>
      <c r="L31" s="5">
        <v>72.3</v>
      </c>
      <c r="M31" s="5">
        <v>76.59718637067631</v>
      </c>
      <c r="N31" s="5">
        <v>72.3</v>
      </c>
      <c r="O31" s="5">
        <v>76.53846782497834</v>
      </c>
      <c r="P31" s="5">
        <v>70.05204176111873</v>
      </c>
      <c r="Q31" s="5">
        <v>63.1</v>
      </c>
    </row>
    <row r="32" spans="1:17" ht="12.75">
      <c r="A32" s="4" t="s">
        <v>20</v>
      </c>
      <c r="B32" s="31">
        <v>74.2</v>
      </c>
      <c r="C32" s="31">
        <v>78.8</v>
      </c>
      <c r="D32" s="5">
        <f>2888/3923*100</f>
        <v>73.61712974764211</v>
      </c>
      <c r="E32" s="5">
        <v>79.5</v>
      </c>
      <c r="F32" s="5">
        <v>80.9</v>
      </c>
      <c r="G32" s="5">
        <f>2787/3356*100</f>
        <v>83.04529201430275</v>
      </c>
      <c r="H32" s="5">
        <v>81.2</v>
      </c>
      <c r="I32" s="5">
        <f>2677/3274*100</f>
        <v>81.76542455711667</v>
      </c>
      <c r="J32" s="5">
        <v>82.7</v>
      </c>
      <c r="K32" s="5">
        <f>2649/3102*100</f>
        <v>85.39651837524178</v>
      </c>
      <c r="L32" s="5">
        <v>86.9</v>
      </c>
      <c r="M32" s="5">
        <v>89.42719395839656</v>
      </c>
      <c r="N32" s="5">
        <v>83.9</v>
      </c>
      <c r="O32" s="5">
        <v>86.51322714195496</v>
      </c>
      <c r="P32" s="5">
        <v>83.4500592608555</v>
      </c>
      <c r="Q32" s="22" t="s">
        <v>64</v>
      </c>
    </row>
    <row r="33" spans="1:17" ht="12.75">
      <c r="A33" s="4" t="s">
        <v>21</v>
      </c>
      <c r="B33" s="31">
        <v>69</v>
      </c>
      <c r="C33" s="31">
        <v>70</v>
      </c>
      <c r="D33" s="5">
        <f>1400/2014*100</f>
        <v>69.5134061569017</v>
      </c>
      <c r="E33" s="5">
        <v>70.7</v>
      </c>
      <c r="F33" s="5">
        <v>73.2</v>
      </c>
      <c r="G33" s="5">
        <f>1446/1958*100</f>
        <v>73.8508682328907</v>
      </c>
      <c r="H33" s="5">
        <v>72.6</v>
      </c>
      <c r="I33" s="5">
        <f>1353/1855*100</f>
        <v>72.93800539083558</v>
      </c>
      <c r="J33" s="5">
        <v>70.9</v>
      </c>
      <c r="K33" s="5">
        <f>1290/1779*100</f>
        <v>72.51264755480608</v>
      </c>
      <c r="L33" s="5">
        <v>76.8</v>
      </c>
      <c r="M33" s="5">
        <v>77.40576372113928</v>
      </c>
      <c r="N33" s="5">
        <v>76.6</v>
      </c>
      <c r="O33" s="5">
        <v>78.03471644275353</v>
      </c>
      <c r="P33" s="6">
        <v>75</v>
      </c>
      <c r="Q33" s="22" t="s">
        <v>64</v>
      </c>
    </row>
    <row r="34" spans="1:17" ht="12.75">
      <c r="A34" s="4" t="s">
        <v>22</v>
      </c>
      <c r="B34" s="31">
        <v>72.2</v>
      </c>
      <c r="C34" s="31">
        <v>74.1</v>
      </c>
      <c r="D34" s="5">
        <f>2981/4143*100</f>
        <v>71.95269128650736</v>
      </c>
      <c r="E34" s="5">
        <v>73.5</v>
      </c>
      <c r="F34" s="5">
        <v>71.8</v>
      </c>
      <c r="G34" s="5">
        <f>2848/3879*100</f>
        <v>73.4209847898943</v>
      </c>
      <c r="H34" s="5">
        <v>72.4</v>
      </c>
      <c r="I34" s="5">
        <f>2748/3732*100</f>
        <v>73.63344051446946</v>
      </c>
      <c r="J34" s="5">
        <v>66.2</v>
      </c>
      <c r="K34" s="5">
        <f>2504/3645*100</f>
        <v>68.6968449931413</v>
      </c>
      <c r="L34" s="5">
        <v>65</v>
      </c>
      <c r="M34" s="5">
        <v>67.0270571516148</v>
      </c>
      <c r="N34" s="5">
        <v>71.3</v>
      </c>
      <c r="O34" s="5">
        <v>74.66537228252875</v>
      </c>
      <c r="P34" s="5">
        <v>69.43005181347151</v>
      </c>
      <c r="Q34" s="5">
        <v>63.9</v>
      </c>
    </row>
    <row r="35" spans="1:17" ht="12.75">
      <c r="A35" s="4" t="s">
        <v>50</v>
      </c>
      <c r="B35" s="31">
        <v>69.7</v>
      </c>
      <c r="C35" s="31">
        <v>70.2</v>
      </c>
      <c r="D35" s="5">
        <f>468/680*100</f>
        <v>68.82352941176471</v>
      </c>
      <c r="E35" s="5">
        <v>69.5</v>
      </c>
      <c r="F35" s="5">
        <v>72.3</v>
      </c>
      <c r="G35" s="5">
        <f>472/647*100</f>
        <v>72.95208655332303</v>
      </c>
      <c r="H35" s="5">
        <v>73.2</v>
      </c>
      <c r="I35" s="5">
        <f>453/614*100</f>
        <v>73.7785016286645</v>
      </c>
      <c r="J35" s="5">
        <v>73.1</v>
      </c>
      <c r="K35" s="5">
        <f>419/558*100</f>
        <v>75.08960573476703</v>
      </c>
      <c r="L35" s="5">
        <v>75.2</v>
      </c>
      <c r="M35" s="5">
        <v>76.33912859857817</v>
      </c>
      <c r="N35" s="5">
        <v>70.7</v>
      </c>
      <c r="O35" s="5">
        <v>72.1943533928539</v>
      </c>
      <c r="P35" s="6">
        <v>65.86606653176239</v>
      </c>
      <c r="Q35" s="22" t="s">
        <v>64</v>
      </c>
    </row>
    <row r="36" spans="1:17" ht="12.75">
      <c r="A36" s="4" t="s">
        <v>23</v>
      </c>
      <c r="B36" s="31">
        <v>65.7</v>
      </c>
      <c r="C36" s="31">
        <v>68.8</v>
      </c>
      <c r="D36" s="5">
        <f>838/1257*100</f>
        <v>66.66666666666666</v>
      </c>
      <c r="E36" s="5">
        <v>70.8</v>
      </c>
      <c r="F36" s="5">
        <v>66.2</v>
      </c>
      <c r="G36" s="5">
        <f>790/1153*100</f>
        <v>68.51691240242845</v>
      </c>
      <c r="H36" s="5">
        <v>72.7</v>
      </c>
      <c r="I36" s="5">
        <f>841/1148*100</f>
        <v>73.25783972125436</v>
      </c>
      <c r="J36" s="5">
        <v>70.2</v>
      </c>
      <c r="K36" s="5">
        <f>811/1120*100</f>
        <v>72.41071428571428</v>
      </c>
      <c r="L36" s="5">
        <v>67.6</v>
      </c>
      <c r="M36" s="5">
        <v>68.89017546984945</v>
      </c>
      <c r="N36" s="5">
        <v>69</v>
      </c>
      <c r="O36" s="5">
        <v>70.18605507967209</v>
      </c>
      <c r="P36" s="6">
        <v>66.57140205994247</v>
      </c>
      <c r="Q36" s="22" t="s">
        <v>64</v>
      </c>
    </row>
    <row r="37" spans="1:17" ht="12.75">
      <c r="A37" s="4" t="s">
        <v>24</v>
      </c>
      <c r="B37" s="31">
        <v>49.2</v>
      </c>
      <c r="C37" s="31">
        <v>56.2</v>
      </c>
      <c r="D37" s="5">
        <f>775/1580*100</f>
        <v>49.050632911392405</v>
      </c>
      <c r="E37" s="5">
        <v>56.6</v>
      </c>
      <c r="F37" s="5">
        <v>46.7</v>
      </c>
      <c r="G37" s="5">
        <f>606/1160*100</f>
        <v>52.241379310344826</v>
      </c>
      <c r="H37" s="5">
        <v>49.8</v>
      </c>
      <c r="I37" s="5">
        <f>538/985*100</f>
        <v>54.61928934010152</v>
      </c>
      <c r="J37" s="5">
        <v>52.1</v>
      </c>
      <c r="K37" s="5">
        <f>450/796*100</f>
        <v>56.53266331658291</v>
      </c>
      <c r="L37" s="5">
        <v>49.4</v>
      </c>
      <c r="M37" s="5">
        <v>52.415099445271274</v>
      </c>
      <c r="N37" s="5">
        <v>48.7</v>
      </c>
      <c r="O37" s="5">
        <v>52.15832637627069</v>
      </c>
      <c r="P37" s="6">
        <v>46.468442577650045</v>
      </c>
      <c r="Q37" s="22" t="s">
        <v>64</v>
      </c>
    </row>
    <row r="38" spans="1:17" ht="12.75">
      <c r="A38" s="4" t="s">
        <v>25</v>
      </c>
      <c r="B38" s="31">
        <v>67.7</v>
      </c>
      <c r="C38" s="31">
        <v>69.7</v>
      </c>
      <c r="D38" s="5">
        <f>629/991*100</f>
        <v>63.47124117053481</v>
      </c>
      <c r="E38" s="5">
        <v>66.1</v>
      </c>
      <c r="F38" s="5">
        <v>64.4</v>
      </c>
      <c r="G38" s="5">
        <f>563/853*100</f>
        <v>66.00234466588512</v>
      </c>
      <c r="H38" s="5">
        <v>64.8</v>
      </c>
      <c r="I38" s="5">
        <f>539/808*100</f>
        <v>66.70792079207921</v>
      </c>
      <c r="J38" s="5">
        <v>62.9</v>
      </c>
      <c r="K38" s="5">
        <f>523/801*100</f>
        <v>65.29338327091136</v>
      </c>
      <c r="L38" s="5">
        <v>59.6</v>
      </c>
      <c r="M38" s="5">
        <v>62.159713413529225</v>
      </c>
      <c r="N38" s="5">
        <v>64.2</v>
      </c>
      <c r="O38" s="5">
        <v>66.58131772667002</v>
      </c>
      <c r="P38" s="6">
        <v>69.20441125101881</v>
      </c>
      <c r="Q38" s="22" t="s">
        <v>64</v>
      </c>
    </row>
    <row r="39" spans="1:17" ht="12.75">
      <c r="A39" s="4" t="s">
        <v>26</v>
      </c>
      <c r="B39" s="31">
        <v>53.7</v>
      </c>
      <c r="C39" s="31">
        <v>62.7</v>
      </c>
      <c r="D39" s="5">
        <f>3802/6669*100</f>
        <v>57.01004648373069</v>
      </c>
      <c r="E39" s="5">
        <v>65</v>
      </c>
      <c r="F39" s="5">
        <v>60.1</v>
      </c>
      <c r="G39" s="5">
        <f>3638/5455*100</f>
        <v>66.69110907424381</v>
      </c>
      <c r="H39" s="5">
        <v>62.5</v>
      </c>
      <c r="I39" s="5">
        <f>3698/5366*100</f>
        <v>68.91539321654864</v>
      </c>
      <c r="J39" s="5">
        <v>60.9</v>
      </c>
      <c r="K39" s="5">
        <f>3549/5192*100</f>
        <v>68.35516178736518</v>
      </c>
      <c r="L39" s="5">
        <v>64.1</v>
      </c>
      <c r="M39" s="5">
        <v>69.31354009077157</v>
      </c>
      <c r="N39" s="5">
        <v>67.2</v>
      </c>
      <c r="O39" s="5">
        <v>72.55799211584556</v>
      </c>
      <c r="P39" s="5">
        <v>61.832514960871556</v>
      </c>
      <c r="Q39" s="5">
        <v>61.9</v>
      </c>
    </row>
    <row r="40" spans="1:17" ht="12.75">
      <c r="A40" s="4" t="s">
        <v>27</v>
      </c>
      <c r="B40" s="31">
        <v>66.2</v>
      </c>
      <c r="C40" s="31">
        <v>70.6</v>
      </c>
      <c r="D40" s="5">
        <f>727/1318*100</f>
        <v>55.15933232169955</v>
      </c>
      <c r="E40" s="5">
        <v>59</v>
      </c>
      <c r="F40" s="5">
        <v>60.4</v>
      </c>
      <c r="G40" s="5">
        <f>756/1172*100</f>
        <v>64.50511945392492</v>
      </c>
      <c r="H40" s="5">
        <v>59.1</v>
      </c>
      <c r="I40" s="5">
        <f>695/1101*100</f>
        <v>63.1244323342416</v>
      </c>
      <c r="J40" s="5">
        <v>59.3</v>
      </c>
      <c r="K40" s="5">
        <f>630/976*100</f>
        <v>64.54918032786885</v>
      </c>
      <c r="L40" s="5">
        <v>60.7</v>
      </c>
      <c r="M40" s="5">
        <v>63.046545881528935</v>
      </c>
      <c r="N40" s="5">
        <v>67.5</v>
      </c>
      <c r="O40" s="5">
        <v>69.75814216935711</v>
      </c>
      <c r="P40" s="6">
        <v>62.03322124744015</v>
      </c>
      <c r="Q40" s="22" t="s">
        <v>64</v>
      </c>
    </row>
    <row r="41" spans="1:17" ht="12.75">
      <c r="A41" s="4" t="s">
        <v>28</v>
      </c>
      <c r="B41" s="31">
        <v>56.6</v>
      </c>
      <c r="C41" s="31">
        <v>64.1</v>
      </c>
      <c r="D41" s="5">
        <f>8261/14206*100</f>
        <v>58.151485287906524</v>
      </c>
      <c r="E41" s="5">
        <v>66.5</v>
      </c>
      <c r="F41" s="5">
        <v>57</v>
      </c>
      <c r="G41" s="5">
        <f>7656/11545*100</f>
        <v>66.31442182763101</v>
      </c>
      <c r="H41" s="5">
        <v>57.7</v>
      </c>
      <c r="I41" s="5">
        <f>7848/11962*100</f>
        <v>65.60775790001672</v>
      </c>
      <c r="J41" s="5">
        <v>57</v>
      </c>
      <c r="K41" s="5">
        <f>7608/11432*100</f>
        <v>66.55003498950315</v>
      </c>
      <c r="L41" s="5">
        <v>57.3</v>
      </c>
      <c r="M41" s="5">
        <v>66.12262748185078</v>
      </c>
      <c r="N41" s="5">
        <v>56.6</v>
      </c>
      <c r="O41" s="5">
        <v>63.44098189415042</v>
      </c>
      <c r="P41" s="5">
        <v>57.78887752694093</v>
      </c>
      <c r="Q41" s="5">
        <v>57.8</v>
      </c>
    </row>
    <row r="42" spans="1:17" ht="12.75">
      <c r="A42" s="4" t="s">
        <v>51</v>
      </c>
      <c r="B42" s="31">
        <v>64.1</v>
      </c>
      <c r="C42" s="31">
        <v>69.2</v>
      </c>
      <c r="D42" s="5">
        <f>3662/5978*100</f>
        <v>61.25794580127133</v>
      </c>
      <c r="E42" s="5">
        <v>64.5</v>
      </c>
      <c r="F42" s="5">
        <v>62.7</v>
      </c>
      <c r="G42" s="5">
        <f>3468/5392*100</f>
        <v>64.31750741839762</v>
      </c>
      <c r="H42" s="5">
        <v>60.9</v>
      </c>
      <c r="I42" s="5">
        <f>3173/5121*100</f>
        <v>61.96055457918376</v>
      </c>
      <c r="J42" s="5">
        <v>62.6</v>
      </c>
      <c r="K42" s="5">
        <f>3032/4676*100</f>
        <v>64.84174508126604</v>
      </c>
      <c r="L42" s="5">
        <v>63.7</v>
      </c>
      <c r="M42" s="5">
        <v>65.00467019525863</v>
      </c>
      <c r="N42" s="5">
        <v>58.5</v>
      </c>
      <c r="O42" s="5">
        <v>59.551842005317134</v>
      </c>
      <c r="P42" s="5">
        <v>51.16974265661555</v>
      </c>
      <c r="Q42" s="5">
        <v>55.9</v>
      </c>
    </row>
    <row r="43" spans="1:17" ht="12.75">
      <c r="A43" s="4" t="s">
        <v>29</v>
      </c>
      <c r="B43" s="31">
        <v>82</v>
      </c>
      <c r="C43" s="31">
        <v>83.6</v>
      </c>
      <c r="D43" s="5">
        <f>405/492*100</f>
        <v>82.3170731707317</v>
      </c>
      <c r="E43" s="5">
        <v>83.7</v>
      </c>
      <c r="F43" s="5">
        <v>90.5</v>
      </c>
      <c r="G43" s="5">
        <f>416/456*100</f>
        <v>91.22807017543859</v>
      </c>
      <c r="H43" s="5">
        <v>93.5</v>
      </c>
      <c r="I43" s="5">
        <f>412/438*100</f>
        <v>94.06392694063926</v>
      </c>
      <c r="J43" s="5">
        <v>90.6</v>
      </c>
      <c r="K43" s="5">
        <f>408/440*100</f>
        <v>92.72727272727272</v>
      </c>
      <c r="L43" s="5">
        <v>94.6</v>
      </c>
      <c r="M43" s="5">
        <v>96.40522875816994</v>
      </c>
      <c r="N43" s="5">
        <v>87.8</v>
      </c>
      <c r="O43" s="5">
        <v>89.17011983424797</v>
      </c>
      <c r="P43" s="6">
        <v>93.36803109161572</v>
      </c>
      <c r="Q43" s="22" t="s">
        <v>64</v>
      </c>
    </row>
    <row r="44" spans="1:17" ht="12.75">
      <c r="A44" s="4" t="s">
        <v>30</v>
      </c>
      <c r="B44" s="31">
        <v>69.6</v>
      </c>
      <c r="C44" s="31">
        <v>71.2</v>
      </c>
      <c r="D44" s="5">
        <f>5488/8604*100</f>
        <v>63.78428637842863</v>
      </c>
      <c r="E44" s="5">
        <v>65.5</v>
      </c>
      <c r="F44" s="5">
        <v>63.7</v>
      </c>
      <c r="G44" s="5">
        <f>5266/8123*100</f>
        <v>64.82826541918011</v>
      </c>
      <c r="H44" s="5">
        <v>64.8</v>
      </c>
      <c r="I44" s="5">
        <f>5280/8096*100</f>
        <v>65.21739130434783</v>
      </c>
      <c r="J44" s="5">
        <v>62.4</v>
      </c>
      <c r="K44" s="5">
        <f>4977/7540*100</f>
        <v>66.0079575596817</v>
      </c>
      <c r="L44" s="5">
        <v>66.3</v>
      </c>
      <c r="M44" s="5">
        <v>68.60455870659952</v>
      </c>
      <c r="N44" s="5">
        <v>63.6</v>
      </c>
      <c r="O44" s="5">
        <v>65.95409146661993</v>
      </c>
      <c r="P44" s="5">
        <v>59.48251729607955</v>
      </c>
      <c r="Q44" s="5">
        <v>60.6</v>
      </c>
    </row>
    <row r="45" spans="1:17" ht="12.75">
      <c r="A45" s="4" t="s">
        <v>31</v>
      </c>
      <c r="B45" s="31">
        <v>67.9</v>
      </c>
      <c r="C45" s="31">
        <v>70</v>
      </c>
      <c r="D45" s="5">
        <f>1656/2515*100</f>
        <v>65.84493041749504</v>
      </c>
      <c r="E45" s="5">
        <v>67.5</v>
      </c>
      <c r="F45" s="5">
        <v>64.1</v>
      </c>
      <c r="G45" s="5">
        <f>1556/2390*100</f>
        <v>65.10460251046025</v>
      </c>
      <c r="H45" s="5">
        <v>65.9</v>
      </c>
      <c r="I45" s="5">
        <f>1532/2294*100</f>
        <v>66.78291194420227</v>
      </c>
      <c r="J45" s="5">
        <v>66.2</v>
      </c>
      <c r="K45" s="5">
        <f>1531/2208*100</f>
        <v>69.33876811594203</v>
      </c>
      <c r="L45" s="5">
        <v>66.7</v>
      </c>
      <c r="M45" s="5">
        <v>68.83449359982035</v>
      </c>
      <c r="N45" s="5">
        <v>62.5</v>
      </c>
      <c r="O45" s="5">
        <v>64.24413232304565</v>
      </c>
      <c r="P45" s="6">
        <v>66.65996986438975</v>
      </c>
      <c r="Q45" s="22" t="s">
        <v>64</v>
      </c>
    </row>
    <row r="46" spans="1:17" ht="12.75">
      <c r="A46" s="4" t="s">
        <v>32</v>
      </c>
      <c r="B46" s="31">
        <v>68.7</v>
      </c>
      <c r="C46" s="31">
        <v>71.8</v>
      </c>
      <c r="D46" s="5">
        <f>1718/2625*100</f>
        <v>65.44761904761904</v>
      </c>
      <c r="E46" s="5">
        <v>70.1</v>
      </c>
      <c r="F46" s="5">
        <v>66.1</v>
      </c>
      <c r="G46" s="5">
        <f>1635/2304*100</f>
        <v>70.96354166666666</v>
      </c>
      <c r="H46" s="5">
        <v>73.1</v>
      </c>
      <c r="I46" s="5">
        <f>1688/2176*100</f>
        <v>77.57352941176471</v>
      </c>
      <c r="J46" s="5">
        <v>66.1</v>
      </c>
      <c r="K46" s="5">
        <f>1417/2002*100</f>
        <v>70.77922077922078</v>
      </c>
      <c r="L46" s="5">
        <v>77.8</v>
      </c>
      <c r="M46" s="5">
        <v>79.73302861891653</v>
      </c>
      <c r="N46" s="5">
        <v>79.1</v>
      </c>
      <c r="O46" s="5">
        <v>83.35865436787846</v>
      </c>
      <c r="P46" s="6">
        <v>70.27534785416545</v>
      </c>
      <c r="Q46" s="22" t="s">
        <v>64</v>
      </c>
    </row>
    <row r="47" spans="1:17" ht="12.75">
      <c r="A47" s="4" t="s">
        <v>33</v>
      </c>
      <c r="B47" s="31">
        <v>63.5</v>
      </c>
      <c r="C47" s="31">
        <v>64.9</v>
      </c>
      <c r="D47" s="5">
        <f>5762/9404*100</f>
        <v>61.27179923436835</v>
      </c>
      <c r="E47" s="5">
        <v>63.4</v>
      </c>
      <c r="F47" s="5">
        <v>61</v>
      </c>
      <c r="G47" s="5">
        <f>5452/8694*100</f>
        <v>62.70991488382792</v>
      </c>
      <c r="H47" s="5">
        <v>59.1</v>
      </c>
      <c r="I47" s="5">
        <f>5318/8819*100</f>
        <v>60.30162149903617</v>
      </c>
      <c r="J47" s="5">
        <v>59</v>
      </c>
      <c r="K47" s="5">
        <f>5367/8669*100</f>
        <v>61.910254931364626</v>
      </c>
      <c r="L47" s="5">
        <v>61.1</v>
      </c>
      <c r="M47" s="5">
        <v>63.19875776397515</v>
      </c>
      <c r="N47" s="5">
        <v>61</v>
      </c>
      <c r="O47" s="5">
        <v>63.31994169303516</v>
      </c>
      <c r="P47" s="5">
        <v>61.34333648393196</v>
      </c>
      <c r="Q47" s="5">
        <v>60.5</v>
      </c>
    </row>
    <row r="48" spans="1:17" ht="12.75">
      <c r="A48" s="4" t="s">
        <v>34</v>
      </c>
      <c r="B48" s="31">
        <v>66.6</v>
      </c>
      <c r="C48" s="31">
        <v>73.2</v>
      </c>
      <c r="D48" s="5">
        <f>495/803*100</f>
        <v>61.64383561643836</v>
      </c>
      <c r="E48" s="5">
        <v>67.4</v>
      </c>
      <c r="F48" s="5">
        <v>65.9</v>
      </c>
      <c r="G48" s="5">
        <f>478/668*100</f>
        <v>71.55688622754491</v>
      </c>
      <c r="H48" s="5">
        <v>65.2</v>
      </c>
      <c r="I48" s="5">
        <f>475/684*100</f>
        <v>69.44444444444444</v>
      </c>
      <c r="J48" s="5">
        <v>62.8</v>
      </c>
      <c r="K48" s="5">
        <f>473/661*100</f>
        <v>71.55824508320727</v>
      </c>
      <c r="L48" s="5">
        <v>62</v>
      </c>
      <c r="M48" s="5">
        <v>69.1642473284329</v>
      </c>
      <c r="N48" s="5">
        <v>67.2</v>
      </c>
      <c r="O48" s="5">
        <v>71.05083234244947</v>
      </c>
      <c r="P48" s="6">
        <v>69.76475183271242</v>
      </c>
      <c r="Q48" s="22" t="s">
        <v>64</v>
      </c>
    </row>
    <row r="49" spans="1:17" ht="12.75">
      <c r="A49" s="4" t="s">
        <v>52</v>
      </c>
      <c r="B49" s="31">
        <v>62.1</v>
      </c>
      <c r="C49" s="31">
        <v>65.2</v>
      </c>
      <c r="D49" s="5">
        <f>1972/2967*100</f>
        <v>66.4644421975059</v>
      </c>
      <c r="E49" s="5">
        <v>68</v>
      </c>
      <c r="F49" s="5">
        <v>67.7</v>
      </c>
      <c r="G49" s="5">
        <f>1907/2793*100</f>
        <v>68.27783745076978</v>
      </c>
      <c r="H49" s="5">
        <v>61</v>
      </c>
      <c r="I49" s="5">
        <f>1635/2649*100</f>
        <v>61.72140430351077</v>
      </c>
      <c r="J49" s="5">
        <v>58</v>
      </c>
      <c r="K49" s="5">
        <f>1445/2430*100</f>
        <v>59.465020576131685</v>
      </c>
      <c r="L49" s="5">
        <v>56.8</v>
      </c>
      <c r="M49" s="5">
        <v>58.37415141359457</v>
      </c>
      <c r="N49" s="5">
        <v>53.9</v>
      </c>
      <c r="O49" s="5">
        <v>55.020061364172754</v>
      </c>
      <c r="P49" s="6">
        <v>51.00276661272641</v>
      </c>
      <c r="Q49" s="22" t="s">
        <v>64</v>
      </c>
    </row>
    <row r="50" spans="1:17" ht="12.75">
      <c r="A50" s="4" t="s">
        <v>35</v>
      </c>
      <c r="B50" s="31">
        <v>77.2</v>
      </c>
      <c r="C50" s="31">
        <v>78.2</v>
      </c>
      <c r="D50" s="5">
        <f>428/573*100</f>
        <v>74.69458987783595</v>
      </c>
      <c r="E50" s="5">
        <v>75.6</v>
      </c>
      <c r="F50" s="5">
        <v>68.7</v>
      </c>
      <c r="G50" s="5">
        <f>364/527*100</f>
        <v>69.07020872865274</v>
      </c>
      <c r="H50" s="5">
        <v>75.5</v>
      </c>
      <c r="I50" s="5">
        <f>374/494*100</f>
        <v>75.7085020242915</v>
      </c>
      <c r="J50" s="5">
        <v>74.1</v>
      </c>
      <c r="K50" s="5">
        <f>366/474*100</f>
        <v>77.21518987341773</v>
      </c>
      <c r="L50" s="5">
        <v>78.7</v>
      </c>
      <c r="M50" s="5">
        <v>79.61296684333786</v>
      </c>
      <c r="N50" s="5">
        <v>76.1</v>
      </c>
      <c r="O50" s="5">
        <v>77.24865389707828</v>
      </c>
      <c r="P50" s="6">
        <v>74.88491711871367</v>
      </c>
      <c r="Q50" s="22" t="s">
        <v>64</v>
      </c>
    </row>
    <row r="51" spans="1:17" ht="12.75">
      <c r="A51" s="4" t="s">
        <v>36</v>
      </c>
      <c r="B51" s="31">
        <v>61.9</v>
      </c>
      <c r="C51" s="31">
        <v>64.1</v>
      </c>
      <c r="D51" s="5">
        <f>2587/4284*100</f>
        <v>60.387488328664794</v>
      </c>
      <c r="E51" s="5">
        <v>63.4</v>
      </c>
      <c r="F51" s="5">
        <v>63.9</v>
      </c>
      <c r="G51" s="5">
        <f>2607/4050*100</f>
        <v>64.37037037037037</v>
      </c>
      <c r="H51" s="5">
        <v>63.8</v>
      </c>
      <c r="I51" s="5">
        <f>2460/3817*100</f>
        <v>64.44851977993189</v>
      </c>
      <c r="J51" s="5">
        <v>63.9</v>
      </c>
      <c r="K51" s="5">
        <f>2324/3588*100</f>
        <v>64.77146042363434</v>
      </c>
      <c r="L51" s="5">
        <v>66</v>
      </c>
      <c r="M51" s="5">
        <v>67.42211290700398</v>
      </c>
      <c r="N51" s="5">
        <v>68.2</v>
      </c>
      <c r="O51" s="5">
        <v>69.26946765046648</v>
      </c>
      <c r="P51" s="5">
        <v>62.71047899297041</v>
      </c>
      <c r="Q51" s="22" t="s">
        <v>64</v>
      </c>
    </row>
    <row r="52" spans="1:17" ht="12.75">
      <c r="A52" s="4" t="s">
        <v>37</v>
      </c>
      <c r="B52" s="31">
        <v>58.6</v>
      </c>
      <c r="C52" s="31">
        <v>67.2</v>
      </c>
      <c r="D52" s="5">
        <f>8591/14996*100</f>
        <v>57.28861029607896</v>
      </c>
      <c r="E52" s="5">
        <v>66.2</v>
      </c>
      <c r="F52" s="5">
        <v>59</v>
      </c>
      <c r="G52" s="5">
        <f>8301/12528*100</f>
        <v>66.2595785440613</v>
      </c>
      <c r="H52" s="5">
        <v>58.5</v>
      </c>
      <c r="I52" s="5">
        <f>7685/11694*100</f>
        <v>65.71746194629725</v>
      </c>
      <c r="J52" s="5">
        <v>60.4</v>
      </c>
      <c r="K52" s="5">
        <f>7252/10889*100</f>
        <v>66.59932041509781</v>
      </c>
      <c r="L52" s="5">
        <v>58.6</v>
      </c>
      <c r="M52" s="5">
        <v>64.78805394990366</v>
      </c>
      <c r="N52" s="5">
        <v>58.4</v>
      </c>
      <c r="O52" s="5">
        <v>62.56847914963205</v>
      </c>
      <c r="P52" s="5">
        <v>55.420607380190965</v>
      </c>
      <c r="Q52" s="5">
        <v>56.6</v>
      </c>
    </row>
    <row r="53" spans="1:17" ht="12.75">
      <c r="A53" s="4" t="s">
        <v>38</v>
      </c>
      <c r="B53" s="31">
        <v>53.1</v>
      </c>
      <c r="C53" s="31">
        <v>56.8</v>
      </c>
      <c r="D53" s="5">
        <f>928/1522*100</f>
        <v>60.97240473061761</v>
      </c>
      <c r="E53" s="5">
        <v>64.4</v>
      </c>
      <c r="F53" s="5">
        <v>55.9</v>
      </c>
      <c r="G53" s="5">
        <f>788/1335*100</f>
        <v>59.02621722846442</v>
      </c>
      <c r="H53" s="5">
        <v>59.6</v>
      </c>
      <c r="I53" s="5">
        <f>733/1169*100</f>
        <v>62.70316509837468</v>
      </c>
      <c r="J53" s="5">
        <v>60.9</v>
      </c>
      <c r="K53" s="5">
        <f>647/1027*100</f>
        <v>62.999026290165524</v>
      </c>
      <c r="L53" s="5">
        <v>65.7</v>
      </c>
      <c r="M53" s="5">
        <v>68.35304071067421</v>
      </c>
      <c r="N53" s="5">
        <v>70.6</v>
      </c>
      <c r="O53" s="5">
        <v>73.10327027928034</v>
      </c>
      <c r="P53" s="6">
        <v>65.59428495061293</v>
      </c>
      <c r="Q53" s="22" t="s">
        <v>64</v>
      </c>
    </row>
    <row r="54" spans="1:17" ht="12.75">
      <c r="A54" s="4" t="s">
        <v>39</v>
      </c>
      <c r="B54" s="31">
        <v>70.2</v>
      </c>
      <c r="C54" s="31">
        <v>71.9</v>
      </c>
      <c r="D54" s="5">
        <f>341/490*100</f>
        <v>69.59183673469389</v>
      </c>
      <c r="E54" s="5">
        <v>70.5</v>
      </c>
      <c r="F54" s="5">
        <v>71.2</v>
      </c>
      <c r="G54" s="5">
        <f>316/434*100</f>
        <v>72.81105990783409</v>
      </c>
      <c r="H54" s="5">
        <v>71</v>
      </c>
      <c r="I54" s="5">
        <f>307/427*100</f>
        <v>71.89695550351288</v>
      </c>
      <c r="J54" s="5">
        <v>74.4</v>
      </c>
      <c r="K54" s="5">
        <f>316/406*100</f>
        <v>77.83251231527095</v>
      </c>
      <c r="L54" s="5">
        <v>75.5</v>
      </c>
      <c r="M54" s="5">
        <v>77.68815078423619</v>
      </c>
      <c r="N54" s="5">
        <v>72</v>
      </c>
      <c r="O54" s="5">
        <v>76.427747940275</v>
      </c>
      <c r="P54" s="6">
        <v>63.698140200286126</v>
      </c>
      <c r="Q54" s="22" t="s">
        <v>64</v>
      </c>
    </row>
    <row r="55" spans="1:17" ht="12.75">
      <c r="A55" s="4" t="s">
        <v>40</v>
      </c>
      <c r="B55" s="31">
        <v>61</v>
      </c>
      <c r="C55" s="31">
        <v>66.4</v>
      </c>
      <c r="D55" s="5">
        <f>3063/5194*100</f>
        <v>58.971890643049676</v>
      </c>
      <c r="E55" s="5">
        <v>63</v>
      </c>
      <c r="F55" s="5">
        <v>60.3</v>
      </c>
      <c r="G55" s="5">
        <f>2996/4786*100</f>
        <v>62.59924780610113</v>
      </c>
      <c r="H55" s="5">
        <v>60.7</v>
      </c>
      <c r="I55" s="5">
        <f>2888/4557*100</f>
        <v>63.375027430326966</v>
      </c>
      <c r="J55" s="5">
        <v>60</v>
      </c>
      <c r="K55" s="5">
        <f>2689/4208*100</f>
        <v>63.90209125475285</v>
      </c>
      <c r="L55" s="5">
        <v>63.3</v>
      </c>
      <c r="M55" s="5">
        <v>66.00626705751542</v>
      </c>
      <c r="N55" s="5">
        <v>59.2</v>
      </c>
      <c r="O55" s="5">
        <v>61.38632460283383</v>
      </c>
      <c r="P55" s="5">
        <v>56.47780079502828</v>
      </c>
      <c r="Q55" s="5">
        <v>54</v>
      </c>
    </row>
    <row r="56" spans="1:17" ht="12.75">
      <c r="A56" s="4" t="s">
        <v>41</v>
      </c>
      <c r="B56" s="31">
        <v>65.1</v>
      </c>
      <c r="C56" s="31">
        <v>70.2</v>
      </c>
      <c r="D56" s="5">
        <f>2901/4456*100</f>
        <v>65.1032315978456</v>
      </c>
      <c r="E56" s="5">
        <v>70.2</v>
      </c>
      <c r="F56" s="5">
        <v>62.8</v>
      </c>
      <c r="G56" s="5">
        <f>2622/3895*100</f>
        <v>67.31707317073172</v>
      </c>
      <c r="H56" s="5">
        <v>67.2</v>
      </c>
      <c r="I56" s="5">
        <f>2636/3709*100</f>
        <v>71.07036937179832</v>
      </c>
      <c r="J56" s="5">
        <v>61.8</v>
      </c>
      <c r="K56" s="5">
        <f>2196/3324*100</f>
        <v>66.06498194945848</v>
      </c>
      <c r="L56" s="5">
        <v>66.6</v>
      </c>
      <c r="M56" s="5">
        <v>70.41964522107493</v>
      </c>
      <c r="N56" s="5">
        <v>62.6</v>
      </c>
      <c r="O56" s="5">
        <v>68.26602644497797</v>
      </c>
      <c r="P56" s="5">
        <v>59.27664273881833</v>
      </c>
      <c r="Q56" s="22" t="s">
        <v>64</v>
      </c>
    </row>
    <row r="57" spans="1:17" ht="12.75">
      <c r="A57" s="4" t="s">
        <v>42</v>
      </c>
      <c r="B57" s="31">
        <v>62.6</v>
      </c>
      <c r="C57" s="31">
        <v>62.9</v>
      </c>
      <c r="D57" s="5">
        <f>827/1379*100</f>
        <v>59.97099347353154</v>
      </c>
      <c r="E57" s="5">
        <v>60.3</v>
      </c>
      <c r="F57" s="5">
        <v>62.8</v>
      </c>
      <c r="G57" s="5">
        <f>880/1399*100</f>
        <v>62.90207290922088</v>
      </c>
      <c r="H57" s="5">
        <v>61</v>
      </c>
      <c r="I57" s="5">
        <f>852/1390*100</f>
        <v>61.294964028776974</v>
      </c>
      <c r="J57" s="5">
        <v>56.6</v>
      </c>
      <c r="K57" s="5">
        <f>778/1340*100</f>
        <v>58.05970149253732</v>
      </c>
      <c r="L57" s="5">
        <v>65.4</v>
      </c>
      <c r="M57" s="5">
        <v>66.97066511762998</v>
      </c>
      <c r="N57" s="5">
        <v>66.7</v>
      </c>
      <c r="O57" s="5">
        <v>67.75537336583204</v>
      </c>
      <c r="P57" s="6">
        <v>67.17863608931805</v>
      </c>
      <c r="Q57" s="22" t="s">
        <v>64</v>
      </c>
    </row>
    <row r="58" spans="1:17" ht="12.75">
      <c r="A58" s="4" t="s">
        <v>43</v>
      </c>
      <c r="B58" s="31">
        <v>70.2</v>
      </c>
      <c r="C58" s="31">
        <v>72.4</v>
      </c>
      <c r="D58" s="5">
        <f>2744/4119*100</f>
        <v>66.6181111920369</v>
      </c>
      <c r="E58" s="5">
        <v>69</v>
      </c>
      <c r="F58" s="5">
        <v>68.7</v>
      </c>
      <c r="G58" s="5">
        <f>2602/3739*100</f>
        <v>69.59079967905856</v>
      </c>
      <c r="H58" s="5">
        <v>77.3</v>
      </c>
      <c r="I58" s="5">
        <f>2813/3602*100</f>
        <v>78.09550249861188</v>
      </c>
      <c r="J58" s="5">
        <v>78</v>
      </c>
      <c r="K58" s="5">
        <f>2799/3490*100</f>
        <v>80.20057306590257</v>
      </c>
      <c r="L58" s="5">
        <v>86.2</v>
      </c>
      <c r="M58" s="5">
        <v>87.95584700750719</v>
      </c>
      <c r="N58" s="5">
        <v>82.1</v>
      </c>
      <c r="O58" s="5">
        <v>84.06614844383084</v>
      </c>
      <c r="P58" s="5">
        <v>85.34028165518951</v>
      </c>
      <c r="Q58" s="22" t="s">
        <v>64</v>
      </c>
    </row>
    <row r="59" spans="1:17" ht="12.75">
      <c r="A59" s="4" t="s">
        <v>44</v>
      </c>
      <c r="B59" s="31">
        <v>65.3</v>
      </c>
      <c r="C59" s="31">
        <v>66.2</v>
      </c>
      <c r="D59" s="5">
        <f>240/370*100</f>
        <v>64.86486486486487</v>
      </c>
      <c r="E59" s="5">
        <v>65.2</v>
      </c>
      <c r="F59" s="5">
        <v>65.6</v>
      </c>
      <c r="G59" s="5">
        <f>227/341*100</f>
        <v>66.56891495601172</v>
      </c>
      <c r="H59" s="5">
        <v>69</v>
      </c>
      <c r="I59" s="5">
        <f>230/331*100</f>
        <v>69.48640483383686</v>
      </c>
      <c r="J59" s="5">
        <v>62.7</v>
      </c>
      <c r="K59" s="5">
        <f>205/317*100</f>
        <v>64.66876971608832</v>
      </c>
      <c r="L59" s="5">
        <v>63</v>
      </c>
      <c r="M59" s="5">
        <v>64.44570880996586</v>
      </c>
      <c r="N59" s="5">
        <v>66.8</v>
      </c>
      <c r="O59" s="5">
        <v>68.85352387138681</v>
      </c>
      <c r="P59" s="6">
        <v>66.66666666666667</v>
      </c>
      <c r="Q59" s="22" t="s">
        <v>64</v>
      </c>
    </row>
    <row r="60" spans="1:17" ht="12.75">
      <c r="A60" s="12" t="s">
        <v>53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4.25">
      <c r="A61" s="21" t="s">
        <v>61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4" t="s">
        <v>63</v>
      </c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s="4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s="4" customFormat="1" ht="12.75">
      <c r="A64" s="16" t="s">
        <v>54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25" ht="12.75">
      <c r="A65" s="30" t="s">
        <v>56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ht="12.75">
      <c r="A66" s="18" t="s">
        <v>66</v>
      </c>
    </row>
    <row r="67" ht="12.75">
      <c r="A67" s="19" t="s">
        <v>57</v>
      </c>
    </row>
  </sheetData>
  <sheetProtection/>
  <mergeCells count="9">
    <mergeCell ref="J6:K6"/>
    <mergeCell ref="L6:M6"/>
    <mergeCell ref="N6:O6"/>
    <mergeCell ref="A6:A7"/>
    <mergeCell ref="D6:E6"/>
    <mergeCell ref="F6:G6"/>
    <mergeCell ref="H6:I6"/>
    <mergeCell ref="B6:C6"/>
    <mergeCell ref="B5:Q5"/>
  </mergeCells>
  <hyperlinks>
    <hyperlink ref="A67" r:id="rId1" display="http://www.iowadatacenter.org"/>
    <hyperlink ref="A65" r:id="rId2" display="http://www.census.gov/population/www/socdemo/voting.html"/>
  </hyperlinks>
  <printOptions/>
  <pageMargins left="0.5" right="0.75" top="0.75" bottom="0.75" header="0.5" footer="0.25"/>
  <pageSetup firstPageNumber="9" useFirstPageNumber="1" horizontalDpi="600" verticalDpi="600" orientation="portrait" scale="73" r:id="rId3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Reported Voting and Registration for Total and Citizen Voting-Age Population, by State for Congressional Elections:  1974-2002</dc:title>
  <dc:subject/>
  <dc:creator>U.S. Census Bureau - Population Division</dc:creator>
  <cp:keywords/>
  <dc:description/>
  <cp:lastModifiedBy>Gary Krob</cp:lastModifiedBy>
  <cp:lastPrinted>2004-07-29T16:20:18Z</cp:lastPrinted>
  <dcterms:created xsi:type="dcterms:W3CDTF">2001-10-01T17:28:05Z</dcterms:created>
  <dcterms:modified xsi:type="dcterms:W3CDTF">2008-07-07T14:18:37Z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